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2415" windowWidth="14340" windowHeight="82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'Sheet1'!$A$1:$N$193</definedName>
  </definedNames>
  <calcPr fullCalcOnLoad="1"/>
</workbook>
</file>

<file path=xl/sharedStrings.xml><?xml version="1.0" encoding="utf-8"?>
<sst xmlns="http://schemas.openxmlformats.org/spreadsheetml/2006/main" count="212" uniqueCount="181">
  <si>
    <t>Quarts-----------------&gt;</t>
  </si>
  <si>
    <t>lbs</t>
  </si>
  <si>
    <t>Fermentables</t>
  </si>
  <si>
    <t>Maris Otter Pale Malt</t>
  </si>
  <si>
    <t>DME Light</t>
  </si>
  <si>
    <t>DME Amber</t>
  </si>
  <si>
    <t>DME Dark</t>
  </si>
  <si>
    <t>&lt;-------Percentage Alcohol</t>
  </si>
  <si>
    <t>Total Pounds of 100% Fermentables</t>
  </si>
  <si>
    <t>GU_Grain</t>
  </si>
  <si>
    <t>GU_100%</t>
  </si>
  <si>
    <t>Special B Malt</t>
  </si>
  <si>
    <t>Amber Malt</t>
  </si>
  <si>
    <t>Peat-Smoked Malt</t>
  </si>
  <si>
    <t>Torrified Wheat</t>
  </si>
  <si>
    <t>Aromatic Malt</t>
  </si>
  <si>
    <t>Biscuit Malt</t>
  </si>
  <si>
    <t xml:space="preserve"> of Grain Bill</t>
  </si>
  <si>
    <t>Specific Gravity (Plato)</t>
  </si>
  <si>
    <t>Ending Gravity</t>
  </si>
  <si>
    <t>% of Alcohol</t>
  </si>
  <si>
    <t>Victory Malt</t>
  </si>
  <si>
    <t>Brown Sugar</t>
  </si>
  <si>
    <t>Scale Factor for Trub in Percent------------&gt;</t>
  </si>
  <si>
    <t>Enter "0" to Disable Scale Factor</t>
  </si>
  <si>
    <t>Gallons of Collected Wort:</t>
  </si>
  <si>
    <t>Gallons of Starter Water:</t>
  </si>
  <si>
    <t>Gravity of Starter</t>
  </si>
  <si>
    <t>Harrington Pilsner Malt</t>
  </si>
  <si>
    <t>Cascades</t>
  </si>
  <si>
    <t>Ounces of Hops for 5 Gallons:</t>
  </si>
  <si>
    <t>Calculated IBU</t>
  </si>
  <si>
    <t>OZ.  of Hops:</t>
  </si>
  <si>
    <t>65L Crystal Malt</t>
  </si>
  <si>
    <t>Cascade</t>
  </si>
  <si>
    <t>Northern Brewer</t>
  </si>
  <si>
    <t>Sunday November 2,2003</t>
  </si>
  <si>
    <t>Brewers: Jim Azotea/Chris Gersey</t>
  </si>
  <si>
    <t>Mashin at 11:24AM at 156F</t>
  </si>
  <si>
    <t>Use Wyeast 1056 Ale Yeast; 26lb. Maris Otter Pale Malt;Add 1 oz Perle at 1:36PM. Added additional 1 oz Perle at 1:56PM; Stop sparge at 3:00PM.</t>
  </si>
  <si>
    <t>Start of Boil 3:15PM;</t>
  </si>
  <si>
    <t>Sunday November 2,2003; Problem with hopback, removed from system.</t>
  </si>
  <si>
    <t>3oz Northern Brewer 3:45PM. Aroma at 4:04PM and Irish Moss for 15 minutes. Last kettle addition 2oz Cascade for 15 minutes.</t>
  </si>
  <si>
    <t xml:space="preserve">Perle
</t>
  </si>
  <si>
    <r>
      <t>Calculation for Water</t>
    </r>
    <r>
      <rPr>
        <sz val="10"/>
        <rFont val="Arial"/>
        <family val="0"/>
      </rPr>
      <t xml:space="preserve"> includes: spent grain, evaporation, shrinkage, and equipment losses.</t>
    </r>
  </si>
  <si>
    <t>14B</t>
  </si>
  <si>
    <t>India Pale Ale (American)</t>
  </si>
  <si>
    <t>Mw1_Kg.-----------------&gt;</t>
  </si>
  <si>
    <t>&lt;--------------Water to Grist Ratio</t>
  </si>
  <si>
    <t>Enter a Water to Grist Ratio between 1.0 and 1.75</t>
  </si>
  <si>
    <t>Ts1_Deg_F---------------------------------&gt;</t>
  </si>
  <si>
    <t>Ts2_Deg_C------------&gt;</t>
  </si>
  <si>
    <t>Gravity</t>
  </si>
  <si>
    <t>lb/gal</t>
  </si>
  <si>
    <t xml:space="preserve"> lbs</t>
  </si>
  <si>
    <t>Chocolate Malt</t>
  </si>
  <si>
    <t>Black Malt</t>
  </si>
  <si>
    <t xml:space="preserve">Flaked Oats </t>
  </si>
  <si>
    <t>Roasted Barley</t>
  </si>
  <si>
    <t>Wheat</t>
  </si>
  <si>
    <t>OG--------&gt;</t>
  </si>
  <si>
    <t>Water losses:</t>
  </si>
  <si>
    <t>Spent Grain---------------------------&gt;</t>
  </si>
  <si>
    <t>Equipment Losses-------------------&gt;</t>
  </si>
  <si>
    <t>Evaporation---------------------------&gt;</t>
  </si>
  <si>
    <t>Shrikage-------------------------------&gt;</t>
  </si>
  <si>
    <t>Boil Time (Hrs)------------------------&gt;</t>
  </si>
  <si>
    <t>5% evaporation Rate per hour</t>
  </si>
  <si>
    <t xml:space="preserve">4% shrinkage in volume (cooling from 100C to 20C) </t>
  </si>
  <si>
    <t>22% loss in grain</t>
  </si>
  <si>
    <t>Final Boil Volume---------------------&gt;</t>
  </si>
  <si>
    <t>Runoff Volume-----------------------&gt;</t>
  </si>
  <si>
    <t>Total Water Required for Brewing-&gt;</t>
  </si>
  <si>
    <t>Total Water Required for Sparge -&gt;</t>
  </si>
  <si>
    <t>Water not pumped/lost in Hot Liquor Tank</t>
  </si>
  <si>
    <t>Lovibond</t>
  </si>
  <si>
    <t>SRM</t>
  </si>
  <si>
    <t>&lt;------SRM</t>
  </si>
  <si>
    <t>SRM Ratings</t>
  </si>
  <si>
    <t>Color</t>
  </si>
  <si>
    <t>SRM Number</t>
  </si>
  <si>
    <t>Clear</t>
  </si>
  <si>
    <t>Light Straw</t>
  </si>
  <si>
    <t>Pale Straw</t>
  </si>
  <si>
    <t>2.5 - 3.5</t>
  </si>
  <si>
    <t>1 - 2.5</t>
  </si>
  <si>
    <t>3.5 - 5.5</t>
  </si>
  <si>
    <t>Dark Straw</t>
  </si>
  <si>
    <t>Light Amber</t>
  </si>
  <si>
    <t>Pale Amber</t>
  </si>
  <si>
    <t>10.0 - 18</t>
  </si>
  <si>
    <t>5.5 - 10.0</t>
  </si>
  <si>
    <t>Dark Amber or Copper</t>
  </si>
  <si>
    <t>18 - 26</t>
  </si>
  <si>
    <t>26 - 40</t>
  </si>
  <si>
    <t>Very Dark Amber</t>
  </si>
  <si>
    <t>Black</t>
  </si>
  <si>
    <t>40+</t>
  </si>
  <si>
    <t xml:space="preserve"> </t>
  </si>
  <si>
    <t>Single Mash Infusion temperatures between 148F to 158F.</t>
  </si>
  <si>
    <t>Measured Gravity--------------------&gt;</t>
  </si>
  <si>
    <t>Measured Efficency--------------&gt;</t>
  </si>
  <si>
    <t>Gallons of Wort Collected-----------&gt;</t>
  </si>
  <si>
    <t>Calculation for Measured Efficency:</t>
  </si>
  <si>
    <t>Units</t>
  </si>
  <si>
    <t>Total GU-&gt;</t>
  </si>
  <si>
    <t>Units are in gallons.</t>
  </si>
  <si>
    <t>System Efficiency-----&gt;</t>
  </si>
  <si>
    <t>2L German Crystal Malt</t>
  </si>
  <si>
    <t>German Munich Malt</t>
  </si>
  <si>
    <t>Minutes</t>
  </si>
  <si>
    <t>Percentage</t>
  </si>
  <si>
    <t>Hop Utilization Chart</t>
  </si>
  <si>
    <t>0 to 5</t>
  </si>
  <si>
    <t>6 to 10</t>
  </si>
  <si>
    <t>11 to 15</t>
  </si>
  <si>
    <t>16 to 20</t>
  </si>
  <si>
    <t>21 to 25</t>
  </si>
  <si>
    <t>26 to 30</t>
  </si>
  <si>
    <t>31 to 35</t>
  </si>
  <si>
    <t>36 to 40</t>
  </si>
  <si>
    <t>41 to 45</t>
  </si>
  <si>
    <t>46 to 50</t>
  </si>
  <si>
    <t>51 to 60</t>
  </si>
  <si>
    <t>"All Grain" Brewing Calculations by J.K. Azotea</t>
  </si>
  <si>
    <t>DME Extra Light</t>
  </si>
  <si>
    <t>Flaked Maize</t>
  </si>
  <si>
    <t>German Vienna Malt</t>
  </si>
  <si>
    <t>Sucrose (Table Sugar)</t>
  </si>
  <si>
    <t>Honey (Clover)</t>
  </si>
  <si>
    <t>Syrup Malt Extract</t>
  </si>
  <si>
    <t>&lt;---SRM Total</t>
  </si>
  <si>
    <t>Notes:</t>
  </si>
  <si>
    <t>10L Crystal Malt</t>
  </si>
  <si>
    <t>AAU-----&gt;</t>
  </si>
  <si>
    <t>BU:GU---&gt;</t>
  </si>
  <si>
    <t>Ingredients:</t>
  </si>
  <si>
    <t>Two-Row Pale Malt</t>
  </si>
  <si>
    <t>40L Crystal Malt</t>
  </si>
  <si>
    <t>20L Crystal Malt</t>
  </si>
  <si>
    <t>Light Munich Malt</t>
  </si>
  <si>
    <t>Carapils Malt</t>
  </si>
  <si>
    <t>Utilization Factor Percentage:</t>
  </si>
  <si>
    <t>Gallons of Wort:</t>
  </si>
  <si>
    <t>Alpha acid:</t>
  </si>
  <si>
    <t>IBU Total</t>
  </si>
  <si>
    <t>Program to Calculate "Strike" Water Temperature</t>
  </si>
  <si>
    <t>This program calculates the "Strike Water" temperature that is needed to achieve a specific "Mash" Temperature.</t>
  </si>
  <si>
    <t>There is no compensation for the loss of energy due to the mass of Mash Tuns or water transfer.</t>
  </si>
  <si>
    <t>The Energy Equation is defined as: E=MC(T2-T1); Where E= Energy, M= Mass, and (T2-T1) is the change in temperature.</t>
  </si>
  <si>
    <t>The Energy of the water and grain are equated to determine the final mash temperature. The equation is rearranged to solve for the strike temperature.</t>
  </si>
  <si>
    <t>The input variables are entered in the "Grey Areas".</t>
  </si>
  <si>
    <t>The calculated values are shown in the "Yellow Areas".</t>
  </si>
  <si>
    <t>Tm= Temperature of Mash; Celsius (C)</t>
  </si>
  <si>
    <t>Ts= Strike Water Temperature; Celsius (C)</t>
  </si>
  <si>
    <t>Tg= Temperature of Grain; Celsius (C)</t>
  </si>
  <si>
    <t>Mg= Mass of Grain;Kg</t>
  </si>
  <si>
    <t>Mw= Mass of Water; Kg</t>
  </si>
  <si>
    <t>Cw= Specific Heat of water; (4.186KJ)/(Kg)(C)</t>
  </si>
  <si>
    <t>Cg= Specific Heat of Grain; (1.8KJ)/(Kg)(C); Varies with moisture content</t>
  </si>
  <si>
    <t>Tm_Deg_C-------------&gt;</t>
  </si>
  <si>
    <t>Tg_Deg_C--------------&gt;</t>
  </si>
  <si>
    <t>Mg_Kg-.----------------&gt;</t>
  </si>
  <si>
    <t>Ts-------------------------&gt;</t>
  </si>
  <si>
    <t>5 Gallon Batch Size Times-------&gt;</t>
  </si>
  <si>
    <t>Name of Beer:</t>
  </si>
  <si>
    <t>Gallons of Finished Beer:</t>
  </si>
  <si>
    <t>How to use program:</t>
  </si>
  <si>
    <t>This program allows scaling from  5 gallon batches of beer to larger batches.</t>
  </si>
  <si>
    <t>Category in BJCP:</t>
  </si>
  <si>
    <t>Enter values into "Grey" areas to calculate large batch values in "yellow" area.</t>
  </si>
  <si>
    <t>Total Pounds of Grain</t>
  </si>
  <si>
    <t xml:space="preserve">Green areas are the "needed" calculated vales. </t>
  </si>
  <si>
    <t>Gallons of Water For 1st Mash---&gt;</t>
  </si>
  <si>
    <t>Quarts of water / Lb. of Grain------&gt;</t>
  </si>
  <si>
    <t>Tm_Deg_F--------------------------------&gt;</t>
  </si>
  <si>
    <t>Tg_Deg_F---------------------------------&gt;</t>
  </si>
  <si>
    <t>Mg_Lbs.-----------------------------------&gt;</t>
  </si>
  <si>
    <t>Cg-------------------------------------------&gt;</t>
  </si>
  <si>
    <t>Cw------------------------------------------&gt;</t>
  </si>
  <si>
    <t>Mw1_Lbs.----------------------------------&gt;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</si>
</sst>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9" fontId="0" fillId="0" borderId="0" xfId="0" applyNumberFormat="1" applyAlignment="1">
      <alignment/>
    </xf>
    <xf numFmtId="0" fontId="0" fillId="2" borderId="0" xfId="0" applyFill="1" applyAlignment="1" applyProtection="1">
      <alignment/>
      <protection locked="0"/>
    </xf>
    <xf numFmtId="0" fontId="0" fillId="0" borderId="0" xfId="0" applyFont="1" applyAlignment="1">
      <alignment/>
    </xf>
    <xf numFmtId="0" fontId="2" fillId="5" borderId="0" xfId="0" applyFont="1" applyFill="1" applyAlignment="1">
      <alignment/>
    </xf>
    <xf numFmtId="16" fontId="0" fillId="5" borderId="0" xfId="0" applyNumberFormat="1" applyFill="1" applyAlignment="1">
      <alignment/>
    </xf>
    <xf numFmtId="0" fontId="1" fillId="5" borderId="0" xfId="0" applyFont="1" applyFill="1" applyAlignment="1">
      <alignment/>
    </xf>
    <xf numFmtId="14" fontId="1" fillId="0" borderId="0" xfId="0" applyNumberFormat="1" applyFont="1" applyAlignment="1">
      <alignment/>
    </xf>
    <xf numFmtId="0" fontId="0" fillId="4" borderId="0" xfId="0" applyNumberFormat="1" applyFill="1" applyAlignment="1">
      <alignment/>
    </xf>
    <xf numFmtId="0" fontId="1" fillId="3" borderId="0" xfId="0" applyFont="1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3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0" fillId="7" borderId="0" xfId="0" applyFill="1" applyAlignment="1" applyProtection="1">
      <alignment/>
      <protection locked="0"/>
    </xf>
    <xf numFmtId="0" fontId="0" fillId="0" borderId="0" xfId="0" applyNumberFormat="1" applyFill="1" applyAlignment="1">
      <alignment/>
    </xf>
    <xf numFmtId="0" fontId="0" fillId="5" borderId="0" xfId="0" applyFill="1" applyAlignment="1">
      <alignment horizontal="left"/>
    </xf>
    <xf numFmtId="0" fontId="0" fillId="0" borderId="0" xfId="0" applyFill="1" applyAlignment="1" applyProtection="1">
      <alignment/>
      <protection locked="0"/>
    </xf>
    <xf numFmtId="0" fontId="0" fillId="2" borderId="0" xfId="0" applyNumberFormat="1" applyFill="1" applyAlignment="1">
      <alignment/>
    </xf>
    <xf numFmtId="9" fontId="0" fillId="0" borderId="0" xfId="21" applyAlignment="1">
      <alignment/>
    </xf>
    <xf numFmtId="0" fontId="0" fillId="2" borderId="0" xfId="0" applyFill="1" applyAlignment="1">
      <alignment wrapText="1"/>
    </xf>
    <xf numFmtId="0" fontId="1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tabSelected="1" workbookViewId="0" topLeftCell="A1">
      <selection activeCell="M6" sqref="M6"/>
    </sheetView>
  </sheetViews>
  <sheetFormatPr defaultColWidth="9.140625" defaultRowHeight="12.75"/>
  <cols>
    <col min="1" max="1" width="9.8515625" style="0" customWidth="1"/>
    <col min="2" max="2" width="10.421875" style="0" customWidth="1"/>
    <col min="3" max="3" width="8.8515625" style="0" customWidth="1"/>
    <col min="4" max="4" width="9.28125" style="0" bestFit="1" customWidth="1"/>
    <col min="5" max="5" width="8.8515625" style="0" customWidth="1"/>
    <col min="6" max="6" width="11.140625" style="0" bestFit="1" customWidth="1"/>
    <col min="7" max="13" width="8.8515625" style="0" customWidth="1"/>
    <col min="14" max="14" width="12.28125" style="0" customWidth="1"/>
    <col min="15" max="15" width="11.28125" style="0" customWidth="1"/>
    <col min="16" max="16384" width="8.8515625" style="0" customWidth="1"/>
  </cols>
  <sheetData>
    <row r="1" spans="1:6" ht="12.75">
      <c r="A1" s="1" t="s">
        <v>124</v>
      </c>
      <c r="F1" s="15">
        <v>37927</v>
      </c>
    </row>
    <row r="3" spans="1:5" ht="12.75">
      <c r="A3" s="1" t="s">
        <v>165</v>
      </c>
      <c r="C3" s="10" t="s">
        <v>46</v>
      </c>
      <c r="D3" s="10"/>
      <c r="E3" s="2"/>
    </row>
    <row r="4" spans="1:3" ht="12.75">
      <c r="A4" s="1" t="s">
        <v>169</v>
      </c>
      <c r="C4" s="10" t="s">
        <v>45</v>
      </c>
    </row>
    <row r="5" spans="1:3" ht="12.75">
      <c r="A5" s="1" t="s">
        <v>167</v>
      </c>
      <c r="C5" t="s">
        <v>168</v>
      </c>
    </row>
    <row r="6" spans="3:15" ht="15.75">
      <c r="C6" t="s">
        <v>170</v>
      </c>
      <c r="O6" s="20"/>
    </row>
    <row r="7" spans="3:15" ht="15.75">
      <c r="C7" t="s">
        <v>172</v>
      </c>
      <c r="O7" s="20"/>
    </row>
    <row r="8" ht="15.75">
      <c r="O8" s="20"/>
    </row>
    <row r="9" spans="2:15" ht="15.75">
      <c r="B9" t="s">
        <v>107</v>
      </c>
      <c r="D9" s="2">
        <v>0.75</v>
      </c>
      <c r="G9" t="s">
        <v>23</v>
      </c>
      <c r="K9" s="2">
        <v>0</v>
      </c>
      <c r="O9" s="20"/>
    </row>
    <row r="10" spans="7:15" ht="15.75">
      <c r="G10" t="s">
        <v>24</v>
      </c>
      <c r="O10" s="20"/>
    </row>
    <row r="11" spans="1:15" ht="15.75">
      <c r="A11" s="1" t="s">
        <v>166</v>
      </c>
      <c r="D11" s="4">
        <v>5</v>
      </c>
      <c r="F11" s="5">
        <f>D56*5*(1+K9)</f>
        <v>15</v>
      </c>
      <c r="O11" s="21"/>
    </row>
    <row r="13" spans="3:11" ht="12.75">
      <c r="C13" s="19" t="s">
        <v>75</v>
      </c>
      <c r="D13" s="1"/>
      <c r="E13" s="1" t="s">
        <v>2</v>
      </c>
      <c r="F13" s="11"/>
      <c r="H13" s="1" t="s">
        <v>52</v>
      </c>
      <c r="I13" s="1" t="s">
        <v>52</v>
      </c>
      <c r="K13" s="1" t="s">
        <v>76</v>
      </c>
    </row>
    <row r="14" spans="1:9" ht="12.75">
      <c r="A14" s="1" t="s">
        <v>136</v>
      </c>
      <c r="D14" s="1" t="s">
        <v>1</v>
      </c>
      <c r="F14" s="1" t="s">
        <v>54</v>
      </c>
      <c r="H14" s="1" t="s">
        <v>53</v>
      </c>
      <c r="I14" s="1" t="s">
        <v>104</v>
      </c>
    </row>
    <row r="15" spans="1:11" ht="12.75">
      <c r="A15" t="s">
        <v>125</v>
      </c>
      <c r="C15">
        <v>3</v>
      </c>
      <c r="D15" s="10">
        <v>0</v>
      </c>
      <c r="F15" s="3">
        <f>D15*D56</f>
        <v>0</v>
      </c>
      <c r="H15">
        <v>1.044</v>
      </c>
      <c r="I15" s="3">
        <f aca="true" t="shared" si="0" ref="I15:I21">((H15-1)*(1000))*F15</f>
        <v>0</v>
      </c>
      <c r="K15" s="3">
        <f aca="true" t="shared" si="1" ref="K15:K21">C15*F15</f>
        <v>0</v>
      </c>
    </row>
    <row r="16" spans="1:11" ht="12.75">
      <c r="A16" t="s">
        <v>4</v>
      </c>
      <c r="C16">
        <v>3.5</v>
      </c>
      <c r="D16" s="10">
        <v>0</v>
      </c>
      <c r="F16" s="3">
        <f>D16*D56</f>
        <v>0</v>
      </c>
      <c r="H16">
        <v>1.044</v>
      </c>
      <c r="I16" s="3">
        <f t="shared" si="0"/>
        <v>0</v>
      </c>
      <c r="K16" s="3">
        <f t="shared" si="1"/>
        <v>0</v>
      </c>
    </row>
    <row r="17" spans="1:11" ht="12.75">
      <c r="A17" t="s">
        <v>5</v>
      </c>
      <c r="C17">
        <v>10</v>
      </c>
      <c r="D17" s="10">
        <v>0</v>
      </c>
      <c r="F17" s="3">
        <f>D17*D56</f>
        <v>0</v>
      </c>
      <c r="H17">
        <v>1.044</v>
      </c>
      <c r="I17" s="3">
        <f t="shared" si="0"/>
        <v>0</v>
      </c>
      <c r="K17" s="3">
        <f t="shared" si="1"/>
        <v>0</v>
      </c>
    </row>
    <row r="18" spans="1:11" ht="12.75">
      <c r="A18" t="s">
        <v>6</v>
      </c>
      <c r="C18">
        <v>30</v>
      </c>
      <c r="D18" s="10">
        <v>0</v>
      </c>
      <c r="F18" s="3">
        <f>D18*D56</f>
        <v>0</v>
      </c>
      <c r="H18">
        <v>1.044</v>
      </c>
      <c r="I18" s="3">
        <f t="shared" si="0"/>
        <v>0</v>
      </c>
      <c r="K18" s="3">
        <f t="shared" si="1"/>
        <v>0</v>
      </c>
    </row>
    <row r="19" spans="1:11" ht="12.75">
      <c r="A19" t="s">
        <v>128</v>
      </c>
      <c r="C19">
        <v>0</v>
      </c>
      <c r="D19" s="10">
        <v>0</v>
      </c>
      <c r="F19" s="3">
        <f>D19*D56</f>
        <v>0</v>
      </c>
      <c r="H19">
        <v>1.046</v>
      </c>
      <c r="I19" s="3">
        <f t="shared" si="0"/>
        <v>0</v>
      </c>
      <c r="K19" s="3">
        <f t="shared" si="1"/>
        <v>0</v>
      </c>
    </row>
    <row r="20" spans="1:11" ht="12.75">
      <c r="A20" t="s">
        <v>129</v>
      </c>
      <c r="C20">
        <v>0.09</v>
      </c>
      <c r="D20" s="10">
        <v>0</v>
      </c>
      <c r="F20" s="3">
        <f>D20*D56</f>
        <v>0</v>
      </c>
      <c r="H20">
        <v>1.032</v>
      </c>
      <c r="I20" s="3">
        <f t="shared" si="0"/>
        <v>0</v>
      </c>
      <c r="K20" s="3">
        <f t="shared" si="1"/>
        <v>0</v>
      </c>
    </row>
    <row r="21" spans="1:11" ht="12.75">
      <c r="A21" t="s">
        <v>130</v>
      </c>
      <c r="C21">
        <v>3.5</v>
      </c>
      <c r="D21" s="10">
        <v>0</v>
      </c>
      <c r="F21" s="3">
        <f>D21*D56</f>
        <v>0</v>
      </c>
      <c r="H21">
        <v>1.037</v>
      </c>
      <c r="I21" s="3">
        <f t="shared" si="0"/>
        <v>0</v>
      </c>
      <c r="K21" s="3">
        <f t="shared" si="1"/>
        <v>0</v>
      </c>
    </row>
    <row r="22" spans="1:11" ht="12.75">
      <c r="A22" t="s">
        <v>22</v>
      </c>
      <c r="C22">
        <v>40</v>
      </c>
      <c r="D22" s="10">
        <v>0</v>
      </c>
      <c r="F22" s="3">
        <f>D22*D56</f>
        <v>0</v>
      </c>
      <c r="H22">
        <v>1.046</v>
      </c>
      <c r="I22" s="3">
        <f>((H22-1)*(1000))*F22</f>
        <v>0</v>
      </c>
      <c r="K22" s="3">
        <f>C22*F22</f>
        <v>0</v>
      </c>
    </row>
    <row r="26" spans="1:9" ht="12.75">
      <c r="A26" t="s">
        <v>8</v>
      </c>
      <c r="D26" s="16">
        <f>SUM(D15:D25)</f>
        <v>0</v>
      </c>
      <c r="F26" s="16">
        <f>SUM(F15:F25)</f>
        <v>0</v>
      </c>
      <c r="H26" t="s">
        <v>10</v>
      </c>
      <c r="I26" s="5">
        <f>SUM(I15:I25)</f>
        <v>0</v>
      </c>
    </row>
    <row r="27" spans="4:9" ht="12.75">
      <c r="D27" s="23"/>
      <c r="E27" s="4"/>
      <c r="F27" s="23"/>
      <c r="G27" s="4"/>
      <c r="H27" s="4"/>
      <c r="I27" s="4"/>
    </row>
    <row r="28" spans="1:14" ht="12.75">
      <c r="A28" t="s">
        <v>26</v>
      </c>
      <c r="D28" s="26">
        <v>1</v>
      </c>
      <c r="E28" s="4"/>
      <c r="F28" s="23"/>
      <c r="N28" t="s">
        <v>111</v>
      </c>
    </row>
    <row r="29" spans="1:14" ht="12.75">
      <c r="A29" s="4" t="s">
        <v>27</v>
      </c>
      <c r="B29" s="4"/>
      <c r="D29" s="16">
        <f>(I26/D28/1000)+1</f>
        <v>1</v>
      </c>
      <c r="E29" s="4"/>
      <c r="F29" s="23"/>
      <c r="G29" s="4"/>
      <c r="H29" s="4"/>
      <c r="I29" s="4"/>
      <c r="N29" t="s">
        <v>17</v>
      </c>
    </row>
    <row r="31" spans="1:14" ht="12.75">
      <c r="A31" t="s">
        <v>3</v>
      </c>
      <c r="C31">
        <v>2.2</v>
      </c>
      <c r="D31" s="2">
        <v>11</v>
      </c>
      <c r="F31" s="3">
        <f>D31*D56*(1+K9)</f>
        <v>33</v>
      </c>
      <c r="H31">
        <v>1.038</v>
      </c>
      <c r="I31" s="3">
        <f aca="true" t="shared" si="2" ref="I31:I37">((H31-1)*(1000))*F31</f>
        <v>1254.0000000000011</v>
      </c>
      <c r="K31" s="3">
        <f>C31*F31</f>
        <v>72.60000000000001</v>
      </c>
      <c r="N31" s="3">
        <f>F31/F58</f>
        <v>0.88</v>
      </c>
    </row>
    <row r="32" spans="1:14" ht="12.75">
      <c r="A32" t="s">
        <v>127</v>
      </c>
      <c r="C32">
        <v>2.5</v>
      </c>
      <c r="D32" s="10">
        <v>0</v>
      </c>
      <c r="F32" s="3">
        <f>D32*D56*(1+K9)</f>
        <v>0</v>
      </c>
      <c r="H32">
        <v>1.037</v>
      </c>
      <c r="I32" s="3">
        <f t="shared" si="2"/>
        <v>0</v>
      </c>
      <c r="K32" s="3">
        <f>C32*F32</f>
        <v>0</v>
      </c>
      <c r="N32" s="3">
        <f>F32/F58</f>
        <v>0</v>
      </c>
    </row>
    <row r="33" spans="1:14" ht="12.75">
      <c r="A33" s="11" t="s">
        <v>28</v>
      </c>
      <c r="B33" s="11"/>
      <c r="C33">
        <v>1.5</v>
      </c>
      <c r="D33" s="10">
        <v>0</v>
      </c>
      <c r="F33" s="3">
        <f>D33*D56*(1+K9)</f>
        <v>0</v>
      </c>
      <c r="H33">
        <v>1.038</v>
      </c>
      <c r="I33" s="3">
        <f t="shared" si="2"/>
        <v>0</v>
      </c>
      <c r="K33" s="3">
        <f>C33*F33</f>
        <v>0</v>
      </c>
      <c r="N33" s="3">
        <f>F33/F58</f>
        <v>0</v>
      </c>
    </row>
    <row r="34" spans="1:14" ht="12.75">
      <c r="A34" s="11" t="s">
        <v>109</v>
      </c>
      <c r="B34" s="11"/>
      <c r="C34">
        <v>8</v>
      </c>
      <c r="D34" s="10">
        <v>0</v>
      </c>
      <c r="F34" s="3">
        <f>D34*D56*(1+K9)</f>
        <v>0</v>
      </c>
      <c r="H34">
        <v>1.037</v>
      </c>
      <c r="I34" s="3">
        <f t="shared" si="2"/>
        <v>0</v>
      </c>
      <c r="K34" s="3">
        <f aca="true" t="shared" si="3" ref="K34:K55">C34*F34</f>
        <v>0</v>
      </c>
      <c r="N34" s="3">
        <f>F34/F58</f>
        <v>0</v>
      </c>
    </row>
    <row r="35" spans="1:14" ht="12.75">
      <c r="A35" s="11" t="s">
        <v>108</v>
      </c>
      <c r="B35" s="11"/>
      <c r="C35">
        <v>2</v>
      </c>
      <c r="D35" s="10">
        <v>0</v>
      </c>
      <c r="F35" s="3">
        <f>D35*D56*(1+K9)</f>
        <v>0</v>
      </c>
      <c r="H35">
        <v>1.033</v>
      </c>
      <c r="I35" s="3">
        <f t="shared" si="2"/>
        <v>0</v>
      </c>
      <c r="K35" s="3">
        <f t="shared" si="3"/>
        <v>0</v>
      </c>
      <c r="N35" s="3">
        <f>F35/F58</f>
        <v>0</v>
      </c>
    </row>
    <row r="36" spans="1:14" ht="12.75">
      <c r="A36" s="11" t="s">
        <v>137</v>
      </c>
      <c r="B36" s="11"/>
      <c r="C36">
        <v>1.8</v>
      </c>
      <c r="D36" s="10">
        <v>0</v>
      </c>
      <c r="F36" s="3">
        <f>D36*D56*(1+K9)</f>
        <v>0</v>
      </c>
      <c r="H36" s="4">
        <v>1.036</v>
      </c>
      <c r="I36" s="3">
        <f t="shared" si="2"/>
        <v>0</v>
      </c>
      <c r="K36" s="3">
        <f t="shared" si="3"/>
        <v>0</v>
      </c>
      <c r="N36" s="3">
        <f>F36/F58</f>
        <v>0</v>
      </c>
    </row>
    <row r="37" spans="1:14" ht="12.75">
      <c r="A37" s="11" t="s">
        <v>133</v>
      </c>
      <c r="B37" s="11"/>
      <c r="C37">
        <v>10</v>
      </c>
      <c r="D37" s="10">
        <v>0</v>
      </c>
      <c r="F37" s="3">
        <f>D37*D56*(1+K9)</f>
        <v>0</v>
      </c>
      <c r="H37">
        <v>1.032</v>
      </c>
      <c r="I37" s="3">
        <f t="shared" si="2"/>
        <v>0</v>
      </c>
      <c r="K37" s="3">
        <f t="shared" si="3"/>
        <v>0</v>
      </c>
      <c r="N37" s="3">
        <f>F37/F58</f>
        <v>0</v>
      </c>
    </row>
    <row r="38" spans="1:14" ht="12.75">
      <c r="A38" s="11" t="s">
        <v>139</v>
      </c>
      <c r="B38" s="11"/>
      <c r="C38">
        <v>20</v>
      </c>
      <c r="D38" s="10">
        <v>0</v>
      </c>
      <c r="F38" s="3">
        <f>D38*D56*(1+K9)</f>
        <v>0</v>
      </c>
      <c r="H38">
        <v>1.033</v>
      </c>
      <c r="I38" s="3">
        <f aca="true" t="shared" si="4" ref="I38:I55">(H38-1)*1000*F38</f>
        <v>0</v>
      </c>
      <c r="K38" s="3">
        <f t="shared" si="3"/>
        <v>0</v>
      </c>
      <c r="N38" s="3">
        <f>F38/F58</f>
        <v>0</v>
      </c>
    </row>
    <row r="39" spans="1:14" ht="12.75">
      <c r="A39" s="11" t="s">
        <v>138</v>
      </c>
      <c r="B39" s="11"/>
      <c r="C39">
        <v>40</v>
      </c>
      <c r="D39" s="10">
        <v>0</v>
      </c>
      <c r="F39" s="3">
        <f>D39*D56*(1+K9)</f>
        <v>0</v>
      </c>
      <c r="H39">
        <v>1.034</v>
      </c>
      <c r="I39" s="3">
        <f t="shared" si="4"/>
        <v>0</v>
      </c>
      <c r="K39" s="3">
        <f t="shared" si="3"/>
        <v>0</v>
      </c>
      <c r="N39" s="3">
        <f>F39/F58</f>
        <v>0</v>
      </c>
    </row>
    <row r="40" spans="1:14" ht="12.75">
      <c r="A40" s="11" t="s">
        <v>33</v>
      </c>
      <c r="B40" s="11"/>
      <c r="C40">
        <v>65</v>
      </c>
      <c r="D40" s="10">
        <v>1.25</v>
      </c>
      <c r="F40" s="3">
        <f>D40*D56*(1+K9)</f>
        <v>3.75</v>
      </c>
      <c r="H40">
        <v>1.035</v>
      </c>
      <c r="I40" s="3">
        <f t="shared" si="4"/>
        <v>131.24999999999972</v>
      </c>
      <c r="K40" s="3">
        <f t="shared" si="3"/>
        <v>243.75</v>
      </c>
      <c r="N40" s="3">
        <f>F40/F58</f>
        <v>0.1</v>
      </c>
    </row>
    <row r="41" spans="1:14" ht="12.75">
      <c r="A41" s="11" t="s">
        <v>11</v>
      </c>
      <c r="B41" s="11"/>
      <c r="C41">
        <v>110</v>
      </c>
      <c r="D41" s="10">
        <v>0</v>
      </c>
      <c r="F41" s="3">
        <f>D41*D56*(1+K9)</f>
        <v>0</v>
      </c>
      <c r="H41">
        <v>1.03</v>
      </c>
      <c r="I41" s="3">
        <f t="shared" si="4"/>
        <v>0</v>
      </c>
      <c r="K41" s="3">
        <f t="shared" si="3"/>
        <v>0</v>
      </c>
      <c r="N41" s="3">
        <f>F41/57</f>
        <v>0</v>
      </c>
    </row>
    <row r="42" spans="1:14" ht="12.75">
      <c r="A42" s="11" t="s">
        <v>140</v>
      </c>
      <c r="B42" s="11"/>
      <c r="C42">
        <v>8</v>
      </c>
      <c r="D42" s="10">
        <v>0</v>
      </c>
      <c r="F42" s="3">
        <f>D42*D56*(1+K9)</f>
        <v>0</v>
      </c>
      <c r="H42">
        <v>1.034</v>
      </c>
      <c r="I42" s="3">
        <f t="shared" si="4"/>
        <v>0</v>
      </c>
      <c r="K42" s="3">
        <f t="shared" si="3"/>
        <v>0</v>
      </c>
      <c r="N42" s="3">
        <f>F42/F58</f>
        <v>0</v>
      </c>
    </row>
    <row r="43" spans="1:14" ht="12.75">
      <c r="A43" s="11" t="s">
        <v>141</v>
      </c>
      <c r="B43" s="11"/>
      <c r="C43">
        <v>1.5</v>
      </c>
      <c r="D43" s="10">
        <v>0.25</v>
      </c>
      <c r="F43" s="3">
        <f>D43*D56*(1+K9)</f>
        <v>0.75</v>
      </c>
      <c r="H43">
        <v>1.033</v>
      </c>
      <c r="I43" s="3">
        <f t="shared" si="4"/>
        <v>24.749999999999936</v>
      </c>
      <c r="K43" s="3">
        <f t="shared" si="3"/>
        <v>1.125</v>
      </c>
      <c r="N43" s="3">
        <f>F43/F58</f>
        <v>0.02</v>
      </c>
    </row>
    <row r="44" spans="1:14" ht="12.75">
      <c r="A44" s="11" t="s">
        <v>56</v>
      </c>
      <c r="B44" s="11"/>
      <c r="C44">
        <v>500</v>
      </c>
      <c r="D44" s="10">
        <v>0</v>
      </c>
      <c r="F44" s="3">
        <f>D44*D56*(1+K9)</f>
        <v>0</v>
      </c>
      <c r="H44">
        <v>1.026</v>
      </c>
      <c r="I44" s="3">
        <f t="shared" si="4"/>
        <v>0</v>
      </c>
      <c r="K44" s="3">
        <f t="shared" si="3"/>
        <v>0</v>
      </c>
      <c r="L44" s="4"/>
      <c r="N44" s="3">
        <f>F44/F58</f>
        <v>0</v>
      </c>
    </row>
    <row r="45" spans="1:14" ht="12.75">
      <c r="A45" s="11" t="s">
        <v>55</v>
      </c>
      <c r="B45" s="11"/>
      <c r="C45">
        <v>350</v>
      </c>
      <c r="D45" s="10">
        <v>0</v>
      </c>
      <c r="F45" s="3">
        <f>D45*D56*(1+K9)</f>
        <v>0</v>
      </c>
      <c r="H45">
        <v>1.034</v>
      </c>
      <c r="I45" s="3">
        <f t="shared" si="4"/>
        <v>0</v>
      </c>
      <c r="K45" s="3">
        <f t="shared" si="3"/>
        <v>0</v>
      </c>
      <c r="N45" s="3">
        <f>F45/F58</f>
        <v>0</v>
      </c>
    </row>
    <row r="46" spans="1:14" ht="12.75">
      <c r="A46" s="11" t="s">
        <v>12</v>
      </c>
      <c r="B46" s="11"/>
      <c r="C46">
        <v>35</v>
      </c>
      <c r="D46" s="10">
        <v>0</v>
      </c>
      <c r="F46" s="3">
        <f>D46*D56*(1+K9)</f>
        <v>0</v>
      </c>
      <c r="H46">
        <v>1.032</v>
      </c>
      <c r="I46" s="3">
        <f t="shared" si="4"/>
        <v>0</v>
      </c>
      <c r="K46" s="3">
        <f t="shared" si="3"/>
        <v>0</v>
      </c>
      <c r="N46" s="3">
        <f>F46/F58</f>
        <v>0</v>
      </c>
    </row>
    <row r="47" spans="1:14" ht="12.75">
      <c r="A47" s="11" t="s">
        <v>13</v>
      </c>
      <c r="B47" s="11"/>
      <c r="C47">
        <v>2.8</v>
      </c>
      <c r="D47" s="10">
        <v>0</v>
      </c>
      <c r="F47" s="3">
        <f>D47*D56*(1+K9)</f>
        <v>0</v>
      </c>
      <c r="H47">
        <v>1.034</v>
      </c>
      <c r="I47" s="3">
        <f t="shared" si="4"/>
        <v>0</v>
      </c>
      <c r="K47" s="3">
        <f t="shared" si="3"/>
        <v>0</v>
      </c>
      <c r="N47" s="3">
        <f>F47/F58</f>
        <v>0</v>
      </c>
    </row>
    <row r="48" spans="1:14" ht="12.75">
      <c r="A48" s="11" t="s">
        <v>14</v>
      </c>
      <c r="B48" s="11"/>
      <c r="C48">
        <v>1</v>
      </c>
      <c r="D48" s="10">
        <v>0</v>
      </c>
      <c r="F48" s="3">
        <f>D48*D56*(1+K9)</f>
        <v>0</v>
      </c>
      <c r="H48">
        <v>1.036</v>
      </c>
      <c r="I48" s="3">
        <f t="shared" si="4"/>
        <v>0</v>
      </c>
      <c r="K48" s="3">
        <f t="shared" si="3"/>
        <v>0</v>
      </c>
      <c r="N48" s="3">
        <f>F48/F58</f>
        <v>0</v>
      </c>
    </row>
    <row r="49" spans="1:14" ht="12.75">
      <c r="A49" s="11" t="s">
        <v>15</v>
      </c>
      <c r="B49" s="11"/>
      <c r="C49">
        <v>20</v>
      </c>
      <c r="D49" s="10">
        <v>0</v>
      </c>
      <c r="F49" s="3">
        <f>D49*D56*(1+K9)</f>
        <v>0</v>
      </c>
      <c r="H49">
        <v>1.036</v>
      </c>
      <c r="I49" s="3">
        <f t="shared" si="4"/>
        <v>0</v>
      </c>
      <c r="K49" s="3">
        <f t="shared" si="3"/>
        <v>0</v>
      </c>
      <c r="N49" s="3">
        <f>F49/F58</f>
        <v>0</v>
      </c>
    </row>
    <row r="50" spans="1:14" ht="12.75">
      <c r="A50" s="11" t="s">
        <v>16</v>
      </c>
      <c r="B50" s="11"/>
      <c r="C50">
        <v>25</v>
      </c>
      <c r="D50" s="10">
        <v>0</v>
      </c>
      <c r="F50" s="3">
        <f>D50*D56*(1+K9)</f>
        <v>0</v>
      </c>
      <c r="H50">
        <v>1.035</v>
      </c>
      <c r="I50" s="3">
        <f t="shared" si="4"/>
        <v>0</v>
      </c>
      <c r="K50" s="3">
        <f t="shared" si="3"/>
        <v>0</v>
      </c>
      <c r="N50" s="3">
        <f>F50/F58</f>
        <v>0</v>
      </c>
    </row>
    <row r="51" spans="1:14" ht="12.75">
      <c r="A51" s="11" t="s">
        <v>57</v>
      </c>
      <c r="B51" s="11"/>
      <c r="C51">
        <v>1</v>
      </c>
      <c r="D51" s="10">
        <v>0</v>
      </c>
      <c r="F51" s="3">
        <f>D51*D56*(1+K9)</f>
        <v>0</v>
      </c>
      <c r="H51">
        <v>1.033</v>
      </c>
      <c r="I51" s="3">
        <f t="shared" si="4"/>
        <v>0</v>
      </c>
      <c r="K51" s="3">
        <f t="shared" si="3"/>
        <v>0</v>
      </c>
      <c r="N51" s="3">
        <f>F51/F58</f>
        <v>0</v>
      </c>
    </row>
    <row r="52" spans="1:14" ht="12.75">
      <c r="A52" s="11" t="s">
        <v>126</v>
      </c>
      <c r="B52" s="11"/>
      <c r="C52">
        <v>1</v>
      </c>
      <c r="D52" s="10">
        <v>0</v>
      </c>
      <c r="F52" s="3">
        <f>D52*D56*(1+K9)</f>
        <v>0</v>
      </c>
      <c r="H52">
        <v>1.037</v>
      </c>
      <c r="I52" s="3">
        <f>(H52-1)*1000*F52</f>
        <v>0</v>
      </c>
      <c r="K52" s="3">
        <f t="shared" si="3"/>
        <v>0</v>
      </c>
      <c r="N52" s="3">
        <f>F52/F58</f>
        <v>0</v>
      </c>
    </row>
    <row r="53" spans="1:14" ht="12.75">
      <c r="A53" s="11" t="s">
        <v>58</v>
      </c>
      <c r="B53" s="11"/>
      <c r="C53">
        <v>500</v>
      </c>
      <c r="D53" s="10">
        <v>0</v>
      </c>
      <c r="F53" s="3">
        <f>D53*D56*(1+K9)</f>
        <v>0</v>
      </c>
      <c r="H53">
        <v>1.025</v>
      </c>
      <c r="I53" s="3">
        <f t="shared" si="4"/>
        <v>0</v>
      </c>
      <c r="K53" s="3">
        <f t="shared" si="3"/>
        <v>0</v>
      </c>
      <c r="N53" s="3">
        <f>F53/F58</f>
        <v>0</v>
      </c>
    </row>
    <row r="54" spans="1:14" ht="12.75">
      <c r="A54" s="11" t="s">
        <v>21</v>
      </c>
      <c r="B54" s="11"/>
      <c r="C54">
        <v>25</v>
      </c>
      <c r="D54" s="10">
        <v>0</v>
      </c>
      <c r="F54" s="3">
        <f>D54*D56*(1+K9)</f>
        <v>0</v>
      </c>
      <c r="H54">
        <v>1.034</v>
      </c>
      <c r="I54" s="3">
        <f t="shared" si="4"/>
        <v>0</v>
      </c>
      <c r="K54" s="3">
        <f t="shared" si="3"/>
        <v>0</v>
      </c>
      <c r="N54" s="3">
        <f>F54/F58</f>
        <v>0</v>
      </c>
    </row>
    <row r="55" spans="1:14" ht="12.75">
      <c r="A55" s="11" t="s">
        <v>59</v>
      </c>
      <c r="B55" s="11"/>
      <c r="C55">
        <v>1.8</v>
      </c>
      <c r="D55" s="10">
        <v>0</v>
      </c>
      <c r="F55" s="3">
        <f>D55*D56*(1+K9)</f>
        <v>0</v>
      </c>
      <c r="H55">
        <v>1.038</v>
      </c>
      <c r="I55" s="3">
        <f t="shared" si="4"/>
        <v>0</v>
      </c>
      <c r="K55" s="3">
        <f t="shared" si="3"/>
        <v>0</v>
      </c>
      <c r="N55" s="3">
        <f>F55/F58</f>
        <v>0</v>
      </c>
    </row>
    <row r="56" spans="1:12" ht="12.75">
      <c r="A56" t="s">
        <v>164</v>
      </c>
      <c r="D56" s="22">
        <v>3</v>
      </c>
      <c r="G56" s="4"/>
      <c r="H56" t="s">
        <v>9</v>
      </c>
      <c r="I56" s="5">
        <f>SUM(I31:I55)</f>
        <v>1410.000000000001</v>
      </c>
      <c r="K56" s="3">
        <f>SUM(K15:K55)</f>
        <v>317.475</v>
      </c>
      <c r="L56" t="s">
        <v>131</v>
      </c>
    </row>
    <row r="57" spans="4:9" ht="12.75">
      <c r="D57" s="25"/>
      <c r="H57" s="4" t="s">
        <v>105</v>
      </c>
      <c r="I57" s="3">
        <f>SUM(I31:I55)+I26</f>
        <v>1410.000000000001</v>
      </c>
    </row>
    <row r="58" spans="1:12" ht="12.75">
      <c r="A58" t="s">
        <v>171</v>
      </c>
      <c r="D58" s="16">
        <f>SUM(D31:D55)</f>
        <v>12.5</v>
      </c>
      <c r="F58" s="5">
        <f>SUM(F31:F55)</f>
        <v>37.5</v>
      </c>
      <c r="H58" t="s">
        <v>60</v>
      </c>
      <c r="I58" s="5">
        <f>((((D9*I56)+I26)/D60)/1000)+1</f>
        <v>1.0705</v>
      </c>
      <c r="K58" s="5">
        <f>K56/D60</f>
        <v>21.165000000000003</v>
      </c>
      <c r="L58" t="s">
        <v>77</v>
      </c>
    </row>
    <row r="59" spans="1:9" ht="12.75">
      <c r="A59" t="s">
        <v>18</v>
      </c>
      <c r="D59" s="3">
        <f>((I58)*(I58)*(-205.347))+((668.72)*(I58))-463.37</f>
        <v>17.17320707325007</v>
      </c>
      <c r="H59" s="4" t="s">
        <v>135</v>
      </c>
      <c r="I59" s="5">
        <f>D99/((I58-1)*1000)</f>
        <v>0.8878501111463957</v>
      </c>
    </row>
    <row r="60" spans="1:10" ht="12.75">
      <c r="A60" s="1" t="s">
        <v>25</v>
      </c>
      <c r="D60" s="5">
        <f>5*D56*(1+K9)</f>
        <v>15</v>
      </c>
      <c r="I60" s="5">
        <f>131*(I58-D61)</f>
        <v>6.877499999999999</v>
      </c>
      <c r="J60" t="s">
        <v>7</v>
      </c>
    </row>
    <row r="61" spans="1:9" ht="12.75">
      <c r="A61" s="11" t="s">
        <v>19</v>
      </c>
      <c r="D61" s="2">
        <v>1.018</v>
      </c>
      <c r="I61" s="4"/>
    </row>
    <row r="62" spans="1:9" ht="12.75">
      <c r="A62" s="1"/>
      <c r="D62" s="4"/>
      <c r="I62" s="4"/>
    </row>
    <row r="64" spans="1:12" ht="15">
      <c r="A64" t="s">
        <v>30</v>
      </c>
      <c r="D64" s="10">
        <v>1</v>
      </c>
      <c r="E64" s="4"/>
      <c r="F64" t="s">
        <v>134</v>
      </c>
      <c r="G64" s="5">
        <f>PRODUCT(D64:D65)</f>
        <v>7</v>
      </c>
      <c r="I64" s="7"/>
      <c r="J64" s="12" t="s">
        <v>112</v>
      </c>
      <c r="K64" s="12"/>
      <c r="L64" s="7"/>
    </row>
    <row r="65" spans="1:12" ht="25.5">
      <c r="A65" t="s">
        <v>144</v>
      </c>
      <c r="D65" s="10">
        <v>7</v>
      </c>
      <c r="E65" s="4"/>
      <c r="F65" s="28" t="s">
        <v>43</v>
      </c>
      <c r="G65" s="2"/>
      <c r="I65" s="7"/>
      <c r="J65" s="7" t="s">
        <v>110</v>
      </c>
      <c r="K65" s="7" t="s">
        <v>111</v>
      </c>
      <c r="L65" s="7"/>
    </row>
    <row r="66" spans="1:12" ht="12.75">
      <c r="A66" t="s">
        <v>142</v>
      </c>
      <c r="D66" s="2">
        <v>30</v>
      </c>
      <c r="E66" s="4"/>
      <c r="F66" s="2"/>
      <c r="G66" s="2"/>
      <c r="I66" s="7"/>
      <c r="J66" s="7" t="s">
        <v>113</v>
      </c>
      <c r="K66" s="7">
        <v>5</v>
      </c>
      <c r="L66" s="7"/>
    </row>
    <row r="67" spans="1:12" ht="12.75">
      <c r="A67" t="s">
        <v>143</v>
      </c>
      <c r="D67" s="3">
        <f>D60</f>
        <v>15</v>
      </c>
      <c r="E67" s="4"/>
      <c r="F67" s="4" t="s">
        <v>32</v>
      </c>
      <c r="G67" s="3">
        <f>D64*D56</f>
        <v>3</v>
      </c>
      <c r="H67" s="4"/>
      <c r="I67" s="7"/>
      <c r="J67" s="13" t="s">
        <v>114</v>
      </c>
      <c r="K67" s="7">
        <v>6</v>
      </c>
      <c r="L67" s="7"/>
    </row>
    <row r="68" spans="5:12" ht="12.75">
      <c r="E68" s="4"/>
      <c r="F68" s="4"/>
      <c r="G68" s="4"/>
      <c r="H68" s="4"/>
      <c r="I68" s="7"/>
      <c r="J68" s="7" t="s">
        <v>115</v>
      </c>
      <c r="K68" s="7">
        <v>8</v>
      </c>
      <c r="L68" s="7"/>
    </row>
    <row r="69" spans="1:12" ht="12.75">
      <c r="A69" t="s">
        <v>31</v>
      </c>
      <c r="D69" s="3">
        <f>D56*(D64*D65*D66)/D67/1.34</f>
        <v>31.34328358208955</v>
      </c>
      <c r="E69" s="4"/>
      <c r="I69" s="7"/>
      <c r="J69" s="7" t="s">
        <v>116</v>
      </c>
      <c r="K69" s="7">
        <v>10.1</v>
      </c>
      <c r="L69" s="7"/>
    </row>
    <row r="70" spans="5:12" ht="12.75">
      <c r="E70" s="4"/>
      <c r="I70" s="7"/>
      <c r="J70" s="7" t="s">
        <v>117</v>
      </c>
      <c r="K70" s="7">
        <v>12.1</v>
      </c>
      <c r="L70" s="7"/>
    </row>
    <row r="71" spans="1:12" ht="12.75">
      <c r="A71" t="s">
        <v>30</v>
      </c>
      <c r="D71" s="10">
        <v>1</v>
      </c>
      <c r="E71" s="4"/>
      <c r="F71" t="s">
        <v>134</v>
      </c>
      <c r="G71" s="5">
        <f>PRODUCT(D71:D72)</f>
        <v>7.2</v>
      </c>
      <c r="I71" s="7"/>
      <c r="J71" s="7" t="s">
        <v>118</v>
      </c>
      <c r="K71" s="7">
        <v>15.3</v>
      </c>
      <c r="L71" s="7"/>
    </row>
    <row r="72" spans="1:12" ht="12.75">
      <c r="A72" t="s">
        <v>144</v>
      </c>
      <c r="D72" s="10">
        <v>7.2</v>
      </c>
      <c r="E72" s="4"/>
      <c r="F72" s="2" t="s">
        <v>35</v>
      </c>
      <c r="G72" s="2"/>
      <c r="I72" s="7"/>
      <c r="J72" s="7" t="s">
        <v>119</v>
      </c>
      <c r="K72" s="7">
        <v>18.8</v>
      </c>
      <c r="L72" s="7"/>
    </row>
    <row r="73" spans="1:12" ht="12.75">
      <c r="A73" t="s">
        <v>142</v>
      </c>
      <c r="D73" s="10">
        <v>15.3</v>
      </c>
      <c r="E73" s="4"/>
      <c r="F73" s="2"/>
      <c r="G73" s="2"/>
      <c r="I73" s="7"/>
      <c r="J73" s="7" t="s">
        <v>120</v>
      </c>
      <c r="K73" s="7">
        <v>22.8</v>
      </c>
      <c r="L73" s="7"/>
    </row>
    <row r="74" spans="1:12" ht="12.75">
      <c r="A74" t="s">
        <v>143</v>
      </c>
      <c r="D74" s="3">
        <f>D60</f>
        <v>15</v>
      </c>
      <c r="E74" s="4"/>
      <c r="F74" s="4" t="s">
        <v>32</v>
      </c>
      <c r="G74" s="3">
        <f>D71*D56</f>
        <v>3</v>
      </c>
      <c r="I74" s="7"/>
      <c r="J74" s="7" t="s">
        <v>121</v>
      </c>
      <c r="K74" s="7">
        <v>26.9</v>
      </c>
      <c r="L74" s="7"/>
    </row>
    <row r="75" spans="5:12" ht="12.75">
      <c r="E75" s="4"/>
      <c r="F75" s="4"/>
      <c r="G75" s="4"/>
      <c r="H75" s="4"/>
      <c r="I75" s="7"/>
      <c r="J75" s="7" t="s">
        <v>122</v>
      </c>
      <c r="K75" s="7">
        <v>28.1</v>
      </c>
      <c r="L75" s="7"/>
    </row>
    <row r="76" spans="1:12" ht="12.75">
      <c r="A76" t="s">
        <v>31</v>
      </c>
      <c r="D76" s="3">
        <f>D56*(D71*D72*D73)/D74/1.34</f>
        <v>16.441791044776117</v>
      </c>
      <c r="E76" s="4"/>
      <c r="F76" s="4"/>
      <c r="G76" s="4"/>
      <c r="H76" s="4"/>
      <c r="I76" s="7"/>
      <c r="J76" s="7" t="s">
        <v>123</v>
      </c>
      <c r="K76" s="7">
        <v>30</v>
      </c>
      <c r="L76" s="7"/>
    </row>
    <row r="77" ht="12.75">
      <c r="E77" s="4"/>
    </row>
    <row r="78" spans="1:7" ht="12.75">
      <c r="A78" t="s">
        <v>30</v>
      </c>
      <c r="D78" s="10">
        <v>1</v>
      </c>
      <c r="E78" s="4"/>
      <c r="F78" t="s">
        <v>134</v>
      </c>
      <c r="G78" s="5">
        <f>PRODUCT(D78:D79)</f>
        <v>5.3</v>
      </c>
    </row>
    <row r="79" spans="1:12" ht="12.75">
      <c r="A79" t="s">
        <v>144</v>
      </c>
      <c r="D79" s="10">
        <v>5.3</v>
      </c>
      <c r="E79" s="4"/>
      <c r="F79" s="2" t="s">
        <v>34</v>
      </c>
      <c r="G79" s="2"/>
      <c r="I79" s="7"/>
      <c r="J79" s="14" t="s">
        <v>78</v>
      </c>
      <c r="K79" s="7"/>
      <c r="L79" s="7"/>
    </row>
    <row r="80" spans="1:12" ht="12.75">
      <c r="A80" t="s">
        <v>142</v>
      </c>
      <c r="D80" s="10">
        <v>8</v>
      </c>
      <c r="E80" s="4"/>
      <c r="F80" s="10"/>
      <c r="G80" s="2"/>
      <c r="I80" s="7" t="s">
        <v>79</v>
      </c>
      <c r="J80" s="7"/>
      <c r="K80" s="7" t="s">
        <v>80</v>
      </c>
      <c r="L80" s="7"/>
    </row>
    <row r="81" spans="1:12" ht="12.75">
      <c r="A81" t="s">
        <v>143</v>
      </c>
      <c r="D81" s="3">
        <f>D60</f>
        <v>15</v>
      </c>
      <c r="E81" s="4"/>
      <c r="F81" s="4" t="s">
        <v>32</v>
      </c>
      <c r="G81" s="3">
        <f>D78*D56</f>
        <v>3</v>
      </c>
      <c r="I81" s="7" t="s">
        <v>81</v>
      </c>
      <c r="J81" s="7"/>
      <c r="K81" s="24">
        <v>0</v>
      </c>
      <c r="L81" s="7"/>
    </row>
    <row r="82" spans="5:12" ht="12.75">
      <c r="E82" s="4"/>
      <c r="F82" s="4"/>
      <c r="G82" s="4"/>
      <c r="H82" s="4"/>
      <c r="I82" s="7" t="s">
        <v>82</v>
      </c>
      <c r="J82" s="7"/>
      <c r="K82" s="7" t="s">
        <v>85</v>
      </c>
      <c r="L82" s="7"/>
    </row>
    <row r="83" spans="1:12" ht="12.75">
      <c r="A83" t="s">
        <v>31</v>
      </c>
      <c r="D83" s="3">
        <f>D56*(D78*D79*D80)/D81/1.34</f>
        <v>6.328358208955223</v>
      </c>
      <c r="E83" s="4"/>
      <c r="F83" s="4"/>
      <c r="G83" s="4"/>
      <c r="H83" s="4"/>
      <c r="I83" s="7" t="s">
        <v>83</v>
      </c>
      <c r="J83" s="7"/>
      <c r="K83" s="7" t="s">
        <v>84</v>
      </c>
      <c r="L83" s="7"/>
    </row>
    <row r="84" spans="5:12" ht="12.75">
      <c r="E84" s="4"/>
      <c r="I84" s="7" t="s">
        <v>87</v>
      </c>
      <c r="J84" s="7"/>
      <c r="K84" s="7" t="s">
        <v>86</v>
      </c>
      <c r="L84" s="7"/>
    </row>
    <row r="85" spans="1:12" ht="12.75">
      <c r="A85" t="s">
        <v>30</v>
      </c>
      <c r="D85" s="10">
        <v>0.67</v>
      </c>
      <c r="E85" s="4"/>
      <c r="F85" t="s">
        <v>134</v>
      </c>
      <c r="G85" s="5">
        <f>PRODUCT(D85:D86)</f>
        <v>3.551</v>
      </c>
      <c r="I85" s="7" t="s">
        <v>88</v>
      </c>
      <c r="J85" s="7"/>
      <c r="K85" s="7" t="s">
        <v>91</v>
      </c>
      <c r="L85" s="7"/>
    </row>
    <row r="86" spans="1:12" ht="12.75">
      <c r="A86" t="s">
        <v>144</v>
      </c>
      <c r="D86" s="10">
        <v>5.3</v>
      </c>
      <c r="E86" s="4"/>
      <c r="F86" s="2" t="s">
        <v>29</v>
      </c>
      <c r="G86" s="2"/>
      <c r="I86" s="7" t="s">
        <v>89</v>
      </c>
      <c r="J86" s="7"/>
      <c r="K86" s="13" t="s">
        <v>90</v>
      </c>
      <c r="L86" s="7"/>
    </row>
    <row r="87" spans="1:12" ht="12.75">
      <c r="A87" t="s">
        <v>142</v>
      </c>
      <c r="D87" s="10">
        <v>8</v>
      </c>
      <c r="E87" s="4"/>
      <c r="F87" s="10"/>
      <c r="G87" s="2"/>
      <c r="I87" s="7" t="s">
        <v>92</v>
      </c>
      <c r="J87" s="7"/>
      <c r="K87" s="7" t="s">
        <v>93</v>
      </c>
      <c r="L87" s="7"/>
    </row>
    <row r="88" spans="1:12" ht="12.75">
      <c r="A88" t="s">
        <v>143</v>
      </c>
      <c r="D88" s="3">
        <f>D60</f>
        <v>15</v>
      </c>
      <c r="E88" s="4"/>
      <c r="F88" s="4" t="s">
        <v>32</v>
      </c>
      <c r="G88" s="3">
        <f>D85*D56</f>
        <v>2.0100000000000002</v>
      </c>
      <c r="I88" s="7" t="s">
        <v>95</v>
      </c>
      <c r="J88" s="7"/>
      <c r="K88" s="7" t="s">
        <v>94</v>
      </c>
      <c r="L88" s="7"/>
    </row>
    <row r="89" spans="5:12" ht="12.75">
      <c r="E89" s="4"/>
      <c r="F89" s="4"/>
      <c r="G89" s="4"/>
      <c r="H89" s="4"/>
      <c r="I89" s="7" t="s">
        <v>96</v>
      </c>
      <c r="J89" s="7"/>
      <c r="K89" s="7" t="s">
        <v>97</v>
      </c>
      <c r="L89" s="7"/>
    </row>
    <row r="90" spans="1:8" ht="12.75">
      <c r="A90" t="s">
        <v>31</v>
      </c>
      <c r="D90" s="3">
        <f>D56*(D85*D86*D87)/D88/1.34</f>
        <v>4.24</v>
      </c>
      <c r="E90" s="4"/>
      <c r="F90" s="4"/>
      <c r="G90" s="4"/>
      <c r="H90" s="4"/>
    </row>
    <row r="91" spans="1:5" ht="12.75">
      <c r="A91" s="1"/>
      <c r="B91" s="1"/>
      <c r="C91" s="1"/>
      <c r="D91" s="1"/>
      <c r="E91" s="1"/>
    </row>
    <row r="92" spans="1:7" ht="12.75">
      <c r="A92" t="s">
        <v>30</v>
      </c>
      <c r="D92" s="10">
        <v>0.67</v>
      </c>
      <c r="E92" s="4"/>
      <c r="F92" t="s">
        <v>134</v>
      </c>
      <c r="G92" s="5">
        <f>PRODUCT(D92:D93)</f>
        <v>3.551</v>
      </c>
    </row>
    <row r="93" spans="1:7" ht="12.75">
      <c r="A93" t="s">
        <v>144</v>
      </c>
      <c r="D93" s="10">
        <v>5.3</v>
      </c>
      <c r="E93" s="4"/>
      <c r="F93" s="2" t="s">
        <v>29</v>
      </c>
      <c r="G93" s="2"/>
    </row>
    <row r="94" spans="1:7" ht="12.75">
      <c r="A94" t="s">
        <v>142</v>
      </c>
      <c r="D94" s="10">
        <v>8</v>
      </c>
      <c r="E94" s="4"/>
      <c r="F94" s="10"/>
      <c r="G94" s="2"/>
    </row>
    <row r="95" spans="1:7" ht="12.75">
      <c r="A95" t="s">
        <v>143</v>
      </c>
      <c r="D95" s="3">
        <f>D60</f>
        <v>15</v>
      </c>
      <c r="E95" s="4"/>
      <c r="F95" s="4" t="s">
        <v>32</v>
      </c>
      <c r="G95" s="3">
        <f>D92*D56</f>
        <v>2.0100000000000002</v>
      </c>
    </row>
    <row r="96" ht="12.75">
      <c r="E96" s="4"/>
    </row>
    <row r="97" spans="1:8" ht="12.75">
      <c r="A97" t="s">
        <v>31</v>
      </c>
      <c r="D97" s="3">
        <f>D56*(D92*D93*D94)/D95/1.34</f>
        <v>4.24</v>
      </c>
      <c r="E97" s="4"/>
      <c r="F97" s="4"/>
      <c r="G97" s="4"/>
      <c r="H97" s="4"/>
    </row>
    <row r="98" spans="6:8" ht="12.75">
      <c r="F98" s="4"/>
      <c r="G98" s="4"/>
      <c r="H98" s="4"/>
    </row>
    <row r="99" spans="1:4" ht="12.75">
      <c r="A99" t="s">
        <v>145</v>
      </c>
      <c r="D99" s="6">
        <f>D69+D76+D83+D90+D97</f>
        <v>62.59343283582089</v>
      </c>
    </row>
    <row r="101" spans="1:5" ht="12.75">
      <c r="A101" s="4"/>
      <c r="B101" s="4"/>
      <c r="C101" s="4"/>
      <c r="D101" s="4"/>
      <c r="E101" s="1"/>
    </row>
    <row r="102" spans="1:5" ht="12.75">
      <c r="A102" s="4"/>
      <c r="B102" s="4"/>
      <c r="C102" s="4"/>
      <c r="D102" s="4"/>
      <c r="E102" s="1"/>
    </row>
    <row r="103" spans="1:5" ht="12.75">
      <c r="A103" s="4"/>
      <c r="B103" s="4"/>
      <c r="C103" s="4"/>
      <c r="D103" s="4"/>
      <c r="E103" s="1"/>
    </row>
    <row r="104" spans="1:5" ht="12.75">
      <c r="A104" s="4"/>
      <c r="B104" s="4"/>
      <c r="C104" s="4"/>
      <c r="D104" s="4"/>
      <c r="E104" s="1"/>
    </row>
    <row r="105" spans="1:5" ht="12.75">
      <c r="A105" s="29"/>
      <c r="B105" s="29"/>
      <c r="C105" s="29"/>
      <c r="D105" s="29"/>
      <c r="E105" s="1"/>
    </row>
    <row r="106" spans="1:7" ht="12.75">
      <c r="A106" s="4"/>
      <c r="B106" s="4"/>
      <c r="C106" s="4"/>
      <c r="D106" s="4"/>
      <c r="E106" s="4"/>
      <c r="F106" s="4"/>
      <c r="G106" s="4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 t="s">
        <v>146</v>
      </c>
      <c r="B109" s="1"/>
      <c r="C109" s="1"/>
      <c r="D109" s="1"/>
      <c r="E109" s="1"/>
    </row>
    <row r="110" ht="12.75">
      <c r="A110" t="s">
        <v>147</v>
      </c>
    </row>
    <row r="111" ht="12.75">
      <c r="A111" t="s">
        <v>148</v>
      </c>
    </row>
    <row r="112" ht="12.75">
      <c r="A112" t="s">
        <v>149</v>
      </c>
    </row>
    <row r="113" ht="12.75">
      <c r="A113" t="s">
        <v>150</v>
      </c>
    </row>
    <row r="114" ht="12.75">
      <c r="A114" t="s">
        <v>151</v>
      </c>
    </row>
    <row r="115" ht="12.75">
      <c r="A115" t="s">
        <v>152</v>
      </c>
    </row>
    <row r="117" ht="12.75">
      <c r="A117" t="s">
        <v>153</v>
      </c>
    </row>
    <row r="118" ht="12.75">
      <c r="A118" t="s">
        <v>154</v>
      </c>
    </row>
    <row r="119" ht="12.75">
      <c r="A119" t="s">
        <v>155</v>
      </c>
    </row>
    <row r="120" ht="12.75">
      <c r="A120" t="s">
        <v>156</v>
      </c>
    </row>
    <row r="121" ht="12.75">
      <c r="A121" t="s">
        <v>157</v>
      </c>
    </row>
    <row r="122" ht="12.75">
      <c r="A122" t="s">
        <v>158</v>
      </c>
    </row>
    <row r="123" ht="12.75">
      <c r="A123" t="s">
        <v>159</v>
      </c>
    </row>
    <row r="126" ht="12.75">
      <c r="A126" t="s">
        <v>49</v>
      </c>
    </row>
    <row r="128" ht="12.75">
      <c r="A128" t="s">
        <v>99</v>
      </c>
    </row>
    <row r="129" ht="12.75">
      <c r="A129" t="s">
        <v>98</v>
      </c>
    </row>
    <row r="130" spans="1:8" ht="12.75">
      <c r="A130" t="s">
        <v>174</v>
      </c>
      <c r="D130" s="10">
        <v>1.28</v>
      </c>
      <c r="E130" t="s">
        <v>48</v>
      </c>
      <c r="H130" s="4"/>
    </row>
    <row r="131" spans="1:8" ht="12.75">
      <c r="A131" t="s">
        <v>173</v>
      </c>
      <c r="D131" s="5">
        <f>D135*D130/4</f>
        <v>12</v>
      </c>
      <c r="F131" t="s">
        <v>0</v>
      </c>
      <c r="H131" s="3">
        <f>D131*4</f>
        <v>48</v>
      </c>
    </row>
    <row r="132" spans="1:9" ht="12.75">
      <c r="A132" t="s">
        <v>175</v>
      </c>
      <c r="D132" s="10">
        <v>156</v>
      </c>
      <c r="F132" t="s">
        <v>160</v>
      </c>
      <c r="H132" s="3">
        <f>(5/9)*(D132-32)</f>
        <v>68.88888888888889</v>
      </c>
      <c r="I132" s="4"/>
    </row>
    <row r="133" spans="1:8" ht="12.75">
      <c r="A133" t="s">
        <v>50</v>
      </c>
      <c r="D133" s="8">
        <f>(9*H137/5)+32</f>
        <v>170.16962984227342</v>
      </c>
      <c r="F133" t="s">
        <v>51</v>
      </c>
      <c r="H133" s="8">
        <f>(5/9)*(D133-32)</f>
        <v>76.76090546792969</v>
      </c>
    </row>
    <row r="134" spans="1:8" ht="12.75">
      <c r="A134" t="s">
        <v>176</v>
      </c>
      <c r="D134" s="10">
        <v>68</v>
      </c>
      <c r="F134" t="s">
        <v>161</v>
      </c>
      <c r="H134" s="3">
        <f>(5/9)*(D134-32)</f>
        <v>20</v>
      </c>
    </row>
    <row r="135" spans="1:8" ht="12.75">
      <c r="A135" t="s">
        <v>177</v>
      </c>
      <c r="D135" s="3">
        <f>F58</f>
        <v>37.5</v>
      </c>
      <c r="F135" t="s">
        <v>162</v>
      </c>
      <c r="H135" s="3">
        <f>D135*0.4535924</f>
        <v>17.009715</v>
      </c>
    </row>
    <row r="136" spans="1:8" ht="12.75">
      <c r="A136" t="s">
        <v>180</v>
      </c>
      <c r="D136" s="3">
        <f>D131*8.345406</f>
        <v>100.144872</v>
      </c>
      <c r="F136" t="s">
        <v>47</v>
      </c>
      <c r="H136" s="3">
        <f>D136*0.4535924</f>
        <v>45.42495283817281</v>
      </c>
    </row>
    <row r="137" spans="1:8" ht="12.75">
      <c r="A137" t="s">
        <v>178</v>
      </c>
      <c r="D137" s="4">
        <v>1.8</v>
      </c>
      <c r="F137" t="s">
        <v>163</v>
      </c>
      <c r="H137" s="3">
        <f>((H132*H136*D138)+(H132*H135*D137)-(H135*D137*H134))*(1/(H136*D138))</f>
        <v>76.76090546792967</v>
      </c>
    </row>
    <row r="138" spans="1:4" ht="12.75">
      <c r="A138" t="s">
        <v>179</v>
      </c>
      <c r="D138" s="4">
        <v>4.186</v>
      </c>
    </row>
    <row r="140" spans="1:9" ht="12.75">
      <c r="A140" s="1" t="s">
        <v>44</v>
      </c>
      <c r="I140" t="s">
        <v>106</v>
      </c>
    </row>
    <row r="141" spans="1:4" ht="12.75">
      <c r="A141" t="s">
        <v>66</v>
      </c>
      <c r="D141" s="10">
        <v>1</v>
      </c>
    </row>
    <row r="142" spans="1:4" ht="12.75">
      <c r="A142" t="s">
        <v>70</v>
      </c>
      <c r="D142" s="3">
        <f>D60+(0.5*D56)</f>
        <v>16.5</v>
      </c>
    </row>
    <row r="144" ht="12.75">
      <c r="A144" t="s">
        <v>61</v>
      </c>
    </row>
    <row r="145" spans="1:6" ht="12.75">
      <c r="A145" t="s">
        <v>64</v>
      </c>
      <c r="D145" s="3">
        <f>1-(0.05*D141)</f>
        <v>0.95</v>
      </c>
      <c r="F145" t="s">
        <v>67</v>
      </c>
    </row>
    <row r="146" spans="1:6" ht="12.75">
      <c r="A146" t="s">
        <v>65</v>
      </c>
      <c r="D146" s="3">
        <v>0.96</v>
      </c>
      <c r="F146" t="s">
        <v>68</v>
      </c>
    </row>
    <row r="148" spans="1:4" ht="12.75">
      <c r="A148" t="s">
        <v>71</v>
      </c>
      <c r="D148" s="3">
        <f>D142/D145/D146</f>
        <v>18.092105263157894</v>
      </c>
    </row>
    <row r="149" ht="12.75">
      <c r="D149" s="4"/>
    </row>
    <row r="150" spans="1:12" ht="12.75">
      <c r="A150" t="s">
        <v>62</v>
      </c>
      <c r="D150" s="3">
        <f>0.22*F58</f>
        <v>8.25</v>
      </c>
      <c r="F150" s="9" t="s">
        <v>69</v>
      </c>
      <c r="L150" s="4"/>
    </row>
    <row r="151" spans="1:6" ht="12.75">
      <c r="A151" t="s">
        <v>63</v>
      </c>
      <c r="D151" s="10">
        <v>0</v>
      </c>
      <c r="F151" t="s">
        <v>74</v>
      </c>
    </row>
    <row r="152" ht="12.75">
      <c r="D152" s="4"/>
    </row>
    <row r="153" spans="1:4" ht="12.75">
      <c r="A153" t="s">
        <v>72</v>
      </c>
      <c r="D153" s="5">
        <f>D148+D150+D151</f>
        <v>26.342105263157894</v>
      </c>
    </row>
    <row r="154" ht="12.75">
      <c r="D154" s="4"/>
    </row>
    <row r="155" spans="1:4" ht="12.75">
      <c r="A155" t="s">
        <v>73</v>
      </c>
      <c r="D155" s="5">
        <f>D153-D131</f>
        <v>14.342105263157894</v>
      </c>
    </row>
    <row r="158" spans="1:6" ht="12.75">
      <c r="A158" s="1" t="s">
        <v>103</v>
      </c>
      <c r="F158" s="1" t="s">
        <v>20</v>
      </c>
    </row>
    <row r="160" spans="1:4" ht="12.75">
      <c r="A160" t="s">
        <v>100</v>
      </c>
      <c r="D160" s="10">
        <v>1.067</v>
      </c>
    </row>
    <row r="161" spans="1:4" ht="12.75">
      <c r="A161" t="s">
        <v>102</v>
      </c>
      <c r="D161" s="10">
        <v>15.6</v>
      </c>
    </row>
    <row r="162" spans="1:6" ht="12.75">
      <c r="A162" t="s">
        <v>101</v>
      </c>
      <c r="D162" s="5">
        <f>((D160-1)*1000)*D161/I57</f>
        <v>0.7412765957446797</v>
      </c>
      <c r="F162" s="5">
        <f>(D160-D61)*131</f>
        <v>6.418999999999992</v>
      </c>
    </row>
    <row r="163" ht="12.75">
      <c r="F163" s="4"/>
    </row>
    <row r="164" spans="1:13" ht="12.75">
      <c r="A164" s="17" t="s">
        <v>132</v>
      </c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</row>
    <row r="165" spans="1:13" ht="12.75">
      <c r="A165" s="18" t="s">
        <v>39</v>
      </c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</row>
    <row r="166" spans="1:13" ht="12.75">
      <c r="A166" s="18" t="s">
        <v>42</v>
      </c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</row>
    <row r="167" spans="1:13" ht="12.75">
      <c r="A167" s="18" t="s">
        <v>41</v>
      </c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</row>
    <row r="168" spans="1:13" ht="12.75">
      <c r="A168" s="18" t="s">
        <v>37</v>
      </c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</row>
    <row r="169" spans="1:13" ht="12.75">
      <c r="A169" s="18" t="s">
        <v>38</v>
      </c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</row>
    <row r="170" spans="1:13" ht="12.75">
      <c r="A170" s="18" t="s">
        <v>36</v>
      </c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</row>
    <row r="171" spans="1:13" ht="12.75">
      <c r="A171" s="18" t="s">
        <v>40</v>
      </c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</row>
    <row r="172" spans="1:13" ht="12.75">
      <c r="A172" s="18"/>
      <c r="B172" s="18"/>
      <c r="C172" s="18"/>
      <c r="D172" s="18"/>
      <c r="E172" s="18"/>
      <c r="F172" s="18"/>
      <c r="G172" s="18"/>
      <c r="H172" s="18"/>
      <c r="I172" s="18"/>
      <c r="J172" s="3"/>
      <c r="K172" s="3"/>
      <c r="L172" s="3"/>
      <c r="M172" s="3"/>
    </row>
    <row r="173" spans="1:13" ht="12.75">
      <c r="A173" s="18"/>
      <c r="B173" s="18"/>
      <c r="C173" s="18"/>
      <c r="D173" s="18"/>
      <c r="E173" s="18"/>
      <c r="F173" s="18"/>
      <c r="G173" s="18"/>
      <c r="H173" s="18"/>
      <c r="I173" s="18"/>
      <c r="J173" s="3"/>
      <c r="K173" s="3"/>
      <c r="L173" s="3"/>
      <c r="M173" s="3"/>
    </row>
    <row r="176" ht="12.75">
      <c r="J176" s="27"/>
    </row>
    <row r="182" spans="9:13" ht="12.75">
      <c r="I182" s="4"/>
      <c r="J182" s="4"/>
      <c r="K182" s="4"/>
      <c r="L182" s="4"/>
      <c r="M182" s="4"/>
    </row>
    <row r="183" spans="9:13" ht="12.75">
      <c r="I183" s="4"/>
      <c r="J183" s="25"/>
      <c r="K183" s="25"/>
      <c r="L183" s="25"/>
      <c r="M183" s="4"/>
    </row>
    <row r="184" spans="9:13" ht="12.75">
      <c r="I184" s="4"/>
      <c r="J184" s="25"/>
      <c r="K184" s="25"/>
      <c r="L184" s="25"/>
      <c r="M184" s="25"/>
    </row>
    <row r="185" spans="9:13" ht="12.75">
      <c r="I185" s="4"/>
      <c r="J185" s="25"/>
      <c r="K185" s="25"/>
      <c r="L185" s="25"/>
      <c r="M185" s="25"/>
    </row>
    <row r="186" spans="9:13" ht="12.75">
      <c r="I186" s="4"/>
      <c r="J186" s="25"/>
      <c r="K186" s="25"/>
      <c r="L186" s="25"/>
      <c r="M186" s="25"/>
    </row>
    <row r="187" spans="9:13" ht="12.75">
      <c r="I187" s="4"/>
      <c r="J187" s="25"/>
      <c r="K187" s="25"/>
      <c r="L187" s="25"/>
      <c r="M187" s="25"/>
    </row>
    <row r="188" spans="9:13" ht="12.75">
      <c r="I188" s="4"/>
      <c r="J188" s="25"/>
      <c r="K188" s="25"/>
      <c r="L188" s="25"/>
      <c r="M188" s="25"/>
    </row>
    <row r="189" spans="9:13" ht="12.75">
      <c r="I189" s="4"/>
      <c r="J189" s="25"/>
      <c r="K189" s="25"/>
      <c r="L189" s="25"/>
      <c r="M189" s="25"/>
    </row>
    <row r="190" spans="9:13" ht="12.75">
      <c r="I190" s="4"/>
      <c r="J190" s="25"/>
      <c r="K190" s="25"/>
      <c r="L190" s="25"/>
      <c r="M190" s="25"/>
    </row>
    <row r="191" spans="9:13" ht="12.75">
      <c r="I191" s="4"/>
      <c r="J191" s="25"/>
      <c r="K191" s="25"/>
      <c r="L191" s="25"/>
      <c r="M191" s="25"/>
    </row>
    <row r="192" spans="9:13" ht="12.75">
      <c r="I192" s="4"/>
      <c r="J192" s="25"/>
      <c r="K192" s="25"/>
      <c r="L192" s="25"/>
      <c r="M192" s="25"/>
    </row>
    <row r="193" ht="12.75">
      <c r="M193" s="25"/>
    </row>
  </sheetData>
  <printOptions/>
  <pageMargins left="0.75" right="0.75" top="1" bottom="1" header="0.5" footer="0.5"/>
  <pageSetup horizontalDpi="300" verticalDpi="300" orientation="landscape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Andrew Azotea</cp:lastModifiedBy>
  <cp:lastPrinted>2004-06-12T22:22:38Z</cp:lastPrinted>
  <dcterms:created xsi:type="dcterms:W3CDTF">2002-12-14T13:13:20Z</dcterms:created>
  <dcterms:modified xsi:type="dcterms:W3CDTF">2006-05-05T16:05:51Z</dcterms:modified>
  <cp:category/>
  <cp:version/>
  <cp:contentType/>
  <cp:contentStatus/>
</cp:coreProperties>
</file>